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cmh002\userdirs_red\SJCHErold\profile\Documents\"/>
    </mc:Choice>
  </mc:AlternateContent>
  <xr:revisionPtr revIDLastSave="0" documentId="8_{53FBF591-A603-4FBE-A803-979E1AD6E9E5}" xr6:coauthVersionLast="47" xr6:coauthVersionMax="47" xr10:uidLastSave="{00000000-0000-0000-0000-000000000000}"/>
  <bookViews>
    <workbookView xWindow="28680" yWindow="-120" windowWidth="29040" windowHeight="15840" xr2:uid="{CCCB3A40-7721-4AEB-BE87-241724842B34}"/>
  </bookViews>
  <sheets>
    <sheet name="Example 1" sheetId="1" r:id="rId1"/>
    <sheet name="Example 2" sheetId="2" r:id="rId2"/>
    <sheet name="Example 3" sheetId="3" r:id="rId3"/>
    <sheet name="Example 4.1" sheetId="9" r:id="rId4"/>
    <sheet name="Example 4.2" sheetId="10" r:id="rId5"/>
    <sheet name="Example 5" sheetId="4" r:id="rId6"/>
    <sheet name="Example 6" sheetId="5" r:id="rId7"/>
    <sheet name="Example 7" sheetId="7" r:id="rId8"/>
    <sheet name="Example 8" sheetId="8" r:id="rId9"/>
  </sheet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B18" i="5" s="1"/>
  <c r="C21" i="5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B10" i="8"/>
  <c r="B9" i="8"/>
  <c r="C11" i="7"/>
  <c r="D11" i="7" s="1"/>
  <c r="E11" i="7" s="1"/>
  <c r="F11" i="7" s="1"/>
  <c r="D9" i="7"/>
  <c r="E9" i="7"/>
  <c r="F9" i="7"/>
  <c r="B17" i="4"/>
  <c r="B11" i="4"/>
  <c r="B12" i="4" s="1"/>
  <c r="B15" i="4" s="1"/>
  <c r="B16" i="4" s="1"/>
  <c r="B13" i="10"/>
  <c r="B14" i="10" s="1"/>
  <c r="B16" i="10" s="1"/>
  <c r="B18" i="10" s="1"/>
  <c r="B10" i="10"/>
  <c r="B14" i="9"/>
  <c r="B15" i="9" s="1"/>
  <c r="B10" i="9"/>
  <c r="B20" i="3"/>
  <c r="B14" i="3"/>
  <c r="B16" i="3" s="1"/>
  <c r="B19" i="2"/>
  <c r="B21" i="2" s="1"/>
  <c r="B23" i="2" s="1"/>
  <c r="B14" i="2"/>
  <c r="B15" i="2" s="1"/>
  <c r="B10" i="2"/>
  <c r="F12" i="1"/>
  <c r="F22" i="5" l="1"/>
  <c r="E22" i="5"/>
  <c r="D22" i="5"/>
  <c r="C22" i="5"/>
  <c r="B11" i="8"/>
  <c r="D10" i="7"/>
  <c r="B18" i="4"/>
  <c r="B19" i="10"/>
  <c r="B25" i="2"/>
  <c r="C31" i="5" l="1"/>
  <c r="B31" i="5"/>
  <c r="B24" i="2"/>
  <c r="D12" i="1"/>
  <c r="E12" i="1"/>
  <c r="B9" i="1"/>
  <c r="B19" i="9"/>
  <c r="B25" i="9" s="1"/>
  <c r="B24" i="9" l="1"/>
  <c r="B21" i="9"/>
  <c r="B23" i="9" s="1"/>
  <c r="B12" i="7"/>
  <c r="F10" i="7"/>
  <c r="C9" i="7"/>
  <c r="B9" i="7"/>
  <c r="B22" i="5"/>
  <c r="C13" i="5"/>
  <c r="C12" i="5"/>
  <c r="D12" i="5" s="1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C9" i="5"/>
  <c r="C10" i="5"/>
  <c r="C8" i="5"/>
  <c r="B21" i="3"/>
  <c r="B9" i="3"/>
  <c r="D13" i="5" l="1"/>
  <c r="C16" i="5"/>
  <c r="D16" i="5" s="1"/>
  <c r="E16" i="5" s="1"/>
  <c r="F16" i="5" s="1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C15" i="5"/>
  <c r="D15" i="5" s="1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C14" i="5"/>
  <c r="D14" i="5" s="1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C12" i="7"/>
  <c r="B21" i="10"/>
  <c r="B26" i="3"/>
  <c r="E10" i="7"/>
  <c r="B10" i="7"/>
  <c r="B13" i="7" s="1"/>
  <c r="C10" i="7"/>
  <c r="B23" i="3"/>
  <c r="B25" i="3" s="1"/>
  <c r="P22" i="5"/>
  <c r="L22" i="5"/>
  <c r="H22" i="5"/>
  <c r="I22" i="5"/>
  <c r="G22" i="5"/>
  <c r="K22" i="5"/>
  <c r="J22" i="5"/>
  <c r="E13" i="5" l="1"/>
  <c r="F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D17" i="5"/>
  <c r="C17" i="5"/>
  <c r="B20" i="5"/>
  <c r="B23" i="5" s="1"/>
  <c r="B25" i="5" s="1"/>
  <c r="B28" i="5" s="1"/>
  <c r="D18" i="5"/>
  <c r="C18" i="5"/>
  <c r="C13" i="7"/>
  <c r="D12" i="7"/>
  <c r="D13" i="7" s="1"/>
  <c r="N22" i="5"/>
  <c r="M22" i="5"/>
  <c r="O22" i="5"/>
  <c r="E17" i="5"/>
  <c r="C20" i="5" l="1"/>
  <c r="C23" i="5" s="1"/>
  <c r="C25" i="5" s="1"/>
  <c r="D20" i="5"/>
  <c r="D23" i="5" s="1"/>
  <c r="D25" i="5" s="1"/>
  <c r="F12" i="7"/>
  <c r="F13" i="7" s="1"/>
  <c r="E12" i="7"/>
  <c r="E13" i="7" s="1"/>
  <c r="F17" i="5"/>
  <c r="E18" i="5"/>
  <c r="E20" i="5" l="1"/>
  <c r="E23" i="5" s="1"/>
  <c r="E25" i="5" s="1"/>
  <c r="G13" i="7"/>
  <c r="G17" i="5"/>
  <c r="F18" i="5"/>
  <c r="F20" i="5" s="1"/>
  <c r="F23" i="5" l="1"/>
  <c r="F25" i="5" s="1"/>
  <c r="H17" i="5"/>
  <c r="G18" i="5"/>
  <c r="G20" i="5" l="1"/>
  <c r="G23" i="5" s="1"/>
  <c r="G25" i="5" s="1"/>
  <c r="H18" i="5"/>
  <c r="H20" i="5" s="1"/>
  <c r="I17" i="5"/>
  <c r="H23" i="5" l="1"/>
  <c r="H25" i="5" s="1"/>
  <c r="I18" i="5"/>
  <c r="J17" i="5"/>
  <c r="I20" i="5" l="1"/>
  <c r="I23" i="5" s="1"/>
  <c r="I25" i="5" s="1"/>
  <c r="J18" i="5"/>
  <c r="K17" i="5"/>
  <c r="J20" i="5" l="1"/>
  <c r="J23" i="5" s="1"/>
  <c r="J25" i="5" s="1"/>
  <c r="L17" i="5"/>
  <c r="K18" i="5"/>
  <c r="K20" i="5" l="1"/>
  <c r="K23" i="5" s="1"/>
  <c r="K25" i="5" s="1"/>
  <c r="M17" i="5"/>
  <c r="L18" i="5"/>
  <c r="L20" i="5" l="1"/>
  <c r="L23" i="5" s="1"/>
  <c r="L25" i="5" s="1"/>
  <c r="N17" i="5"/>
  <c r="M18" i="5"/>
  <c r="C28" i="5" l="1"/>
  <c r="C29" i="5" s="1"/>
  <c r="M20" i="5"/>
  <c r="M23" i="5" s="1"/>
  <c r="M25" i="5" s="1"/>
  <c r="O17" i="5"/>
  <c r="N18" i="5"/>
  <c r="B29" i="5" l="1"/>
  <c r="B32" i="5" s="1"/>
  <c r="C32" i="5"/>
  <c r="N20" i="5"/>
  <c r="N23" i="5" s="1"/>
  <c r="N25" i="5" s="1"/>
  <c r="P17" i="5"/>
  <c r="O18" i="5"/>
  <c r="B34" i="5" l="1"/>
  <c r="O20" i="5"/>
  <c r="O23" i="5" s="1"/>
  <c r="O25" i="5" s="1"/>
  <c r="P18" i="5"/>
  <c r="P20" i="5" l="1"/>
  <c r="P23" i="5" s="1"/>
  <c r="P25" i="5" s="1"/>
  <c r="C12" i="1"/>
  <c r="B12" i="1"/>
  <c r="F9" i="1"/>
  <c r="F10" i="1" s="1"/>
  <c r="F13" i="1" l="1"/>
  <c r="D9" i="1"/>
  <c r="C9" i="1"/>
  <c r="E9" i="1"/>
  <c r="E10" i="1" s="1"/>
  <c r="E13" i="1" s="1"/>
  <c r="C10" i="1" l="1"/>
  <c r="C13" i="1" s="1"/>
  <c r="D10" i="1"/>
  <c r="D13" i="1" s="1"/>
  <c r="B10" i="1"/>
  <c r="B13" i="1" s="1"/>
  <c r="G13" i="1" l="1"/>
</calcChain>
</file>

<file path=xl/sharedStrings.xml><?xml version="1.0" encoding="utf-8"?>
<sst xmlns="http://schemas.openxmlformats.org/spreadsheetml/2006/main" count="164" uniqueCount="76">
  <si>
    <t>Years:</t>
  </si>
  <si>
    <t>1-5</t>
  </si>
  <si>
    <t>6-10</t>
  </si>
  <si>
    <t>11-15</t>
  </si>
  <si>
    <t>16-20</t>
  </si>
  <si>
    <t>21-25</t>
  </si>
  <si>
    <t>Percentage Abatement:</t>
  </si>
  <si>
    <t>Amount of Abatement:</t>
  </si>
  <si>
    <t>Incremental Abatement:</t>
  </si>
  <si>
    <t># of Years Amortized:</t>
  </si>
  <si>
    <t>Debt Service Constant:</t>
  </si>
  <si>
    <t>Loan Proceeds Generated:</t>
  </si>
  <si>
    <t>Income</t>
  </si>
  <si>
    <t>Expenses</t>
  </si>
  <si>
    <t>NOI</t>
  </si>
  <si>
    <t>Cap Rate</t>
  </si>
  <si>
    <t>Value:</t>
  </si>
  <si>
    <t>Rent</t>
  </si>
  <si>
    <t>Laundry</t>
  </si>
  <si>
    <t>Tenant Charges</t>
  </si>
  <si>
    <t>RUBS</t>
  </si>
  <si>
    <t>EGI</t>
  </si>
  <si>
    <t>Vacancy</t>
  </si>
  <si>
    <t>PILOT</t>
  </si>
  <si>
    <t>Real Estate Taxes</t>
  </si>
  <si>
    <t>Phase In</t>
  </si>
  <si>
    <t>Savings (Trended)</t>
  </si>
  <si>
    <t>1-12</t>
  </si>
  <si>
    <t>13-14</t>
  </si>
  <si>
    <t>15-16</t>
  </si>
  <si>
    <t>17-18</t>
  </si>
  <si>
    <t>19-20</t>
  </si>
  <si>
    <t>Example 1: Variable Standard Declining Tax Abatement</t>
  </si>
  <si>
    <t>Unabated Real Estate Taxes:</t>
  </si>
  <si>
    <t>Interest Rate:</t>
  </si>
  <si>
    <t>MIP:</t>
  </si>
  <si>
    <t>Total:</t>
  </si>
  <si>
    <t>Example 2: Fixed 100% Tax Abatement for 15 Years, Limited by Other Criterion</t>
  </si>
  <si>
    <t>Debt Service Constant</t>
  </si>
  <si>
    <t>Loan Proceeds</t>
  </si>
  <si>
    <t>Criterion 3 (Value) Constraint:</t>
  </si>
  <si>
    <t>Criterion 5 (DSC) Constraint:</t>
  </si>
  <si>
    <t>Criterion 5 (DSC) Constraint (without Tax Abatement Proceeds):</t>
  </si>
  <si>
    <t>Tax Abatement (Tranche B)</t>
  </si>
  <si>
    <t>Tranche A</t>
  </si>
  <si>
    <t>LTV/DSCR</t>
  </si>
  <si>
    <t>Term (Years):</t>
  </si>
  <si>
    <t>Term (Years)</t>
  </si>
  <si>
    <t>Example 3: Fixed 100% Tax Abatement for 40 Years, Limited by Value</t>
  </si>
  <si>
    <t>Income &amp; Expense w/o RE Tax</t>
  </si>
  <si>
    <t>Example 4.1: 100% Tax Abatement for 33 Years with 35 Year Loan Term</t>
  </si>
  <si>
    <t>Income &amp; Expense w/ RE Tax</t>
  </si>
  <si>
    <t>Tax Abatement Term (Years)</t>
  </si>
  <si>
    <t>Increased Proceeds with 33-Year Term</t>
  </si>
  <si>
    <t>Example 4.2: 100% Tax Abatement for 33 Years with 33 Year Loan Term</t>
  </si>
  <si>
    <t>Example 5: 15 Year PILOT based on 15% of EGI</t>
  </si>
  <si>
    <t>15% of EGI/PILOT Payment</t>
  </si>
  <si>
    <t>Savings</t>
  </si>
  <si>
    <t>Additional Loan Proceeds</t>
  </si>
  <si>
    <t>Term of PILOT (Years)</t>
  </si>
  <si>
    <t>Example 7: 421(a) Exemption/12 Year Full Abatement + 8 Year Phase Out</t>
  </si>
  <si>
    <t>Example 8: 30-year TIF with 50% Reimbursement</t>
  </si>
  <si>
    <t>% Abatement</t>
  </si>
  <si>
    <t>$ Abatement</t>
  </si>
  <si>
    <t xml:space="preserve">Example 6: 15 Year PILOT based on Greater of 15% of EGI and Tax Phase-In </t>
  </si>
  <si>
    <t>Tax Phase-In</t>
  </si>
  <si>
    <t>Years 1-5</t>
  </si>
  <si>
    <t>Years 6-10</t>
  </si>
  <si>
    <t>Years 11-15</t>
  </si>
  <si>
    <t>Year</t>
  </si>
  <si>
    <t>Years</t>
  </si>
  <si>
    <t>1-10</t>
  </si>
  <si>
    <t>Incremental Abatement</t>
  </si>
  <si>
    <t># of Years Amorized</t>
  </si>
  <si>
    <t>Total Additional Loan Proceeds</t>
  </si>
  <si>
    <t>15% of 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</si>
</sst>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6" fontId="0" fillId="0" borderId="0" xfId="0" quotePrefix="1" applyNumberFormat="1"/>
    <xf numFmtId="0" fontId="0" fillId="0" borderId="0" xfId="0" quotePrefix="1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1" applyNumberFormat="1" applyFont="1"/>
    <xf numFmtId="9" fontId="0" fillId="0" borderId="0" xfId="2" applyFon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Border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4" fillId="2" borderId="1" xfId="0" applyFont="1" applyFill="1" applyBorder="1"/>
    <xf numFmtId="1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2" fillId="2" borderId="1" xfId="0" applyFont="1" applyFill="1" applyBorder="1" applyAlignment="1">
      <alignment wrapText="1"/>
    </xf>
    <xf numFmtId="6" fontId="0" fillId="0" borderId="1" xfId="0" applyNumberFormat="1" applyBorder="1"/>
    <xf numFmtId="10" fontId="0" fillId="0" borderId="1" xfId="0" applyNumberFormat="1" applyBorder="1"/>
    <xf numFmtId="165" fontId="0" fillId="0" borderId="1" xfId="1" applyNumberFormat="1" applyFont="1" applyBorder="1"/>
    <xf numFmtId="164" fontId="0" fillId="0" borderId="1" xfId="0" applyNumberFormat="1" applyBorder="1"/>
    <xf numFmtId="9" fontId="0" fillId="0" borderId="1" xfId="0" applyNumberFormat="1" applyBorder="1"/>
    <xf numFmtId="0" fontId="5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1" xfId="1" applyNumberFormat="1" applyFont="1" applyBorder="1"/>
    <xf numFmtId="0" fontId="2" fillId="2" borderId="2" xfId="0" applyFont="1" applyFill="1" applyBorder="1"/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16" fontId="0" fillId="3" borderId="1" xfId="0" quotePrefix="1" applyNumberForma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5813-AF32-4037-A6A8-4132ED69F9F1}">
  <dimension ref="A1:H20"/>
  <sheetViews>
    <sheetView tabSelected="1" workbookViewId="0">
      <selection activeCell="D1" sqref="D1"/>
    </sheetView>
  </sheetViews>
  <sheetFormatPr defaultRowHeight="15" x14ac:dyDescent="0.25"/>
  <cols>
    <col min="1" max="1" width="29.28515625" customWidth="1"/>
    <col min="2" max="7" width="11.42578125" customWidth="1"/>
    <col min="8" max="8" width="11.140625" customWidth="1"/>
  </cols>
  <sheetData>
    <row r="1" spans="1:8" x14ac:dyDescent="0.25">
      <c r="A1" s="25" t="s">
        <v>32</v>
      </c>
    </row>
    <row r="3" spans="1:8" x14ac:dyDescent="0.25">
      <c r="A3" s="24" t="s">
        <v>33</v>
      </c>
      <c r="B3" s="19">
        <v>200000</v>
      </c>
    </row>
    <row r="4" spans="1:8" x14ac:dyDescent="0.25">
      <c r="A4" s="24" t="s">
        <v>34</v>
      </c>
      <c r="B4" s="20">
        <v>7.0000000000000007E-2</v>
      </c>
    </row>
    <row r="5" spans="1:8" x14ac:dyDescent="0.25">
      <c r="A5" s="24" t="s">
        <v>35</v>
      </c>
      <c r="B5" s="20">
        <v>2.5000000000000001E-3</v>
      </c>
    </row>
    <row r="6" spans="1:8" x14ac:dyDescent="0.25">
      <c r="A6" s="13"/>
      <c r="B6" s="13"/>
      <c r="C6" s="13"/>
      <c r="D6" s="13"/>
      <c r="E6" s="13"/>
      <c r="F6" s="13"/>
    </row>
    <row r="7" spans="1:8" x14ac:dyDescent="0.25">
      <c r="A7" s="21" t="s">
        <v>0</v>
      </c>
      <c r="B7" s="22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9"/>
    </row>
    <row r="8" spans="1:8" x14ac:dyDescent="0.25">
      <c r="A8" s="21" t="s">
        <v>6</v>
      </c>
      <c r="B8" s="15">
        <v>1</v>
      </c>
      <c r="C8" s="15">
        <v>0.8</v>
      </c>
      <c r="D8" s="15">
        <v>0.55000000000000004</v>
      </c>
      <c r="E8" s="15">
        <v>0.2</v>
      </c>
      <c r="F8" s="15">
        <v>0.05</v>
      </c>
      <c r="G8" s="9"/>
    </row>
    <row r="9" spans="1:8" x14ac:dyDescent="0.25">
      <c r="A9" s="21" t="s">
        <v>7</v>
      </c>
      <c r="B9" s="16">
        <f>+$B$3*B8</f>
        <v>200000</v>
      </c>
      <c r="C9" s="16">
        <f>+$B$3*C8</f>
        <v>160000</v>
      </c>
      <c r="D9" s="16">
        <f>+$B$3*D8</f>
        <v>110000.00000000001</v>
      </c>
      <c r="E9" s="16">
        <f>+$B$3*E8</f>
        <v>40000</v>
      </c>
      <c r="F9" s="16">
        <f>+$B$3*F8</f>
        <v>10000</v>
      </c>
      <c r="G9" s="9"/>
    </row>
    <row r="10" spans="1:8" x14ac:dyDescent="0.25">
      <c r="A10" s="21" t="s">
        <v>8</v>
      </c>
      <c r="B10" s="16">
        <f t="shared" ref="B10:D10" si="0">+B9-C9</f>
        <v>40000</v>
      </c>
      <c r="C10" s="16">
        <f t="shared" si="0"/>
        <v>49999.999999999985</v>
      </c>
      <c r="D10" s="16">
        <f t="shared" si="0"/>
        <v>70000.000000000015</v>
      </c>
      <c r="E10" s="16">
        <f>+E9-F9</f>
        <v>30000</v>
      </c>
      <c r="F10" s="16">
        <f>+F9</f>
        <v>10000</v>
      </c>
      <c r="G10" s="9"/>
    </row>
    <row r="11" spans="1:8" x14ac:dyDescent="0.25">
      <c r="A11" s="21" t="s">
        <v>9</v>
      </c>
      <c r="B11" s="14">
        <v>5</v>
      </c>
      <c r="C11" s="14">
        <v>10</v>
      </c>
      <c r="D11" s="14">
        <v>15</v>
      </c>
      <c r="E11" s="14">
        <v>20</v>
      </c>
      <c r="F11" s="14">
        <v>25</v>
      </c>
      <c r="G11" s="9"/>
    </row>
    <row r="12" spans="1:8" x14ac:dyDescent="0.25">
      <c r="A12" s="21" t="s">
        <v>10</v>
      </c>
      <c r="B12" s="17">
        <f>PMT($B$4/12,B11*12,-1)*12+$B$5</f>
        <v>0.24011438248419442</v>
      </c>
      <c r="C12" s="17">
        <f>PMT($B$4/12,C11*12,-1)*12+$B$5</f>
        <v>0.14183017506234888</v>
      </c>
      <c r="D12" s="17">
        <f>PMT($B$4/12,D11*12,-1)*12+$B$5</f>
        <v>0.11035939250229124</v>
      </c>
      <c r="E12" s="17">
        <f>PMT($B$4/12,E11*12,-1)*12+$B$5</f>
        <v>9.5535872274264952E-2</v>
      </c>
      <c r="F12" s="17">
        <f>PMT($B$4/12,F11*12,-1)*12+$B$5</f>
        <v>8.7313503673011009E-2</v>
      </c>
      <c r="G12" s="26" t="s">
        <v>36</v>
      </c>
    </row>
    <row r="13" spans="1:8" x14ac:dyDescent="0.25">
      <c r="A13" s="21" t="s">
        <v>11</v>
      </c>
      <c r="B13" s="16">
        <f>+B10/B12</f>
        <v>166587.27222486562</v>
      </c>
      <c r="C13" s="16">
        <f t="shared" ref="C13:F13" si="1">+C10/C12</f>
        <v>352534.28953337937</v>
      </c>
      <c r="D13" s="16">
        <f t="shared" si="1"/>
        <v>634291.27700704499</v>
      </c>
      <c r="E13" s="16">
        <f t="shared" si="1"/>
        <v>314018.1722931866</v>
      </c>
      <c r="F13" s="16">
        <f t="shared" si="1"/>
        <v>114529.8216121299</v>
      </c>
      <c r="G13" s="27">
        <f>SUM(B13:F13)</f>
        <v>1581960.8326706067</v>
      </c>
    </row>
    <row r="14" spans="1:8" x14ac:dyDescent="0.25">
      <c r="B14" s="11"/>
      <c r="C14" s="12"/>
      <c r="D14" s="12"/>
      <c r="E14" s="12"/>
      <c r="F14" s="12"/>
      <c r="G14" s="12"/>
      <c r="H14" s="9"/>
    </row>
    <row r="15" spans="1:8" x14ac:dyDescent="0.25">
      <c r="B15" s="9"/>
      <c r="C15" s="10"/>
      <c r="D15" s="10"/>
      <c r="E15" s="10"/>
      <c r="F15" s="10"/>
      <c r="G15" s="10"/>
      <c r="H15" s="9"/>
    </row>
    <row r="16" spans="1:8" x14ac:dyDescent="0.25">
      <c r="C16" s="6"/>
      <c r="D16" s="6"/>
      <c r="E16" s="6"/>
      <c r="F16" s="6"/>
      <c r="G16" s="6"/>
    </row>
    <row r="17" spans="3:7" x14ac:dyDescent="0.25">
      <c r="C17" s="6"/>
      <c r="D17" s="6"/>
      <c r="E17" s="6"/>
      <c r="F17" s="6"/>
      <c r="G17" s="6"/>
    </row>
    <row r="18" spans="3:7" x14ac:dyDescent="0.25">
      <c r="C18" s="6"/>
      <c r="D18" s="6"/>
      <c r="E18" s="6"/>
      <c r="F18" s="6"/>
      <c r="G18" s="6"/>
    </row>
    <row r="19" spans="3:7" x14ac:dyDescent="0.25">
      <c r="C19" s="6"/>
      <c r="D19" s="6"/>
      <c r="E19" s="6"/>
      <c r="F19" s="6"/>
      <c r="G19" s="6"/>
    </row>
    <row r="20" spans="3:7" x14ac:dyDescent="0.25">
      <c r="C20" s="6"/>
      <c r="D20" s="6"/>
      <c r="E20" s="6"/>
      <c r="F20" s="6"/>
      <c r="G20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3B0E2-AF01-4483-BDB6-5207360DA3B7}">
  <dimension ref="A1:G29"/>
  <sheetViews>
    <sheetView workbookViewId="0">
      <selection activeCell="D16" sqref="D16"/>
    </sheetView>
  </sheetViews>
  <sheetFormatPr defaultRowHeight="15" x14ac:dyDescent="0.25"/>
  <cols>
    <col min="1" max="1" width="32.7109375" customWidth="1"/>
    <col min="2" max="2" width="11.5703125" bestFit="1" customWidth="1"/>
    <col min="3" max="3" width="14.28515625" bestFit="1" customWidth="1"/>
    <col min="4" max="4" width="11.140625" bestFit="1" customWidth="1"/>
    <col min="6" max="6" width="13.85546875" bestFit="1" customWidth="1"/>
    <col min="7" max="7" width="11.140625" bestFit="1" customWidth="1"/>
    <col min="15" max="15" width="12.7109375" bestFit="1" customWidth="1"/>
    <col min="18" max="18" width="13.85546875" bestFit="1" customWidth="1"/>
    <col min="20" max="20" width="12.7109375" customWidth="1"/>
  </cols>
  <sheetData>
    <row r="1" spans="1:2" x14ac:dyDescent="0.25">
      <c r="A1" s="25" t="s">
        <v>37</v>
      </c>
    </row>
    <row r="3" spans="1:2" x14ac:dyDescent="0.25">
      <c r="A3" s="24" t="s">
        <v>33</v>
      </c>
      <c r="B3" s="31">
        <v>300000</v>
      </c>
    </row>
    <row r="4" spans="1:2" x14ac:dyDescent="0.25">
      <c r="A4" s="24" t="s">
        <v>34</v>
      </c>
      <c r="B4" s="32">
        <v>4.7500000000000001E-2</v>
      </c>
    </row>
    <row r="5" spans="1:2" x14ac:dyDescent="0.25">
      <c r="A5" s="24" t="s">
        <v>35</v>
      </c>
      <c r="B5" s="32">
        <v>3.5000000000000001E-3</v>
      </c>
    </row>
    <row r="7" spans="1:2" x14ac:dyDescent="0.25">
      <c r="A7" s="36" t="s">
        <v>44</v>
      </c>
    </row>
    <row r="8" spans="1:2" x14ac:dyDescent="0.25">
      <c r="A8" s="24" t="s">
        <v>45</v>
      </c>
      <c r="B8" s="35">
        <v>0.87</v>
      </c>
    </row>
    <row r="9" spans="1:2" x14ac:dyDescent="0.25">
      <c r="A9" s="24" t="s">
        <v>47</v>
      </c>
      <c r="B9" s="18">
        <v>35</v>
      </c>
    </row>
    <row r="10" spans="1:2" x14ac:dyDescent="0.25">
      <c r="A10" s="24" t="s">
        <v>38</v>
      </c>
      <c r="B10" s="32">
        <f>PMT(B4/12,B9*12,-1)*12+B5</f>
        <v>6.2162809387510162E-2</v>
      </c>
    </row>
    <row r="12" spans="1:2" x14ac:dyDescent="0.25">
      <c r="A12" s="36" t="s">
        <v>43</v>
      </c>
    </row>
    <row r="13" spans="1:2" x14ac:dyDescent="0.25">
      <c r="A13" s="24" t="s">
        <v>46</v>
      </c>
      <c r="B13" s="18">
        <v>15</v>
      </c>
    </row>
    <row r="14" spans="1:2" x14ac:dyDescent="0.25">
      <c r="A14" s="24" t="s">
        <v>38</v>
      </c>
      <c r="B14" s="32">
        <f>PMT(B4/12,B13*12,-1)*12+B5</f>
        <v>9.6839830125237295E-2</v>
      </c>
    </row>
    <row r="15" spans="1:2" x14ac:dyDescent="0.25">
      <c r="A15" s="24" t="s">
        <v>39</v>
      </c>
      <c r="B15" s="33">
        <f>+B3/B14</f>
        <v>3097898.8667372456</v>
      </c>
    </row>
    <row r="17" spans="1:7" x14ac:dyDescent="0.25">
      <c r="A17" s="24" t="s">
        <v>12</v>
      </c>
      <c r="B17" s="34">
        <v>2000000</v>
      </c>
    </row>
    <row r="18" spans="1:7" x14ac:dyDescent="0.25">
      <c r="A18" s="24" t="s">
        <v>13</v>
      </c>
      <c r="B18" s="34">
        <v>1100000</v>
      </c>
    </row>
    <row r="19" spans="1:7" x14ac:dyDescent="0.25">
      <c r="A19" s="24" t="s">
        <v>14</v>
      </c>
      <c r="B19" s="34">
        <f>+B17-B18</f>
        <v>900000</v>
      </c>
      <c r="G19" s="5"/>
    </row>
    <row r="20" spans="1:7" x14ac:dyDescent="0.25">
      <c r="A20" s="24" t="s">
        <v>15</v>
      </c>
      <c r="B20" s="32">
        <v>6.5000000000000002E-2</v>
      </c>
    </row>
    <row r="21" spans="1:7" x14ac:dyDescent="0.25">
      <c r="A21" s="24" t="s">
        <v>16</v>
      </c>
      <c r="B21" s="34">
        <f>+B19/B20</f>
        <v>13846153.846153846</v>
      </c>
    </row>
    <row r="23" spans="1:7" x14ac:dyDescent="0.25">
      <c r="A23" s="24" t="s">
        <v>40</v>
      </c>
      <c r="B23" s="34">
        <f>+B21*B8</f>
        <v>12046153.846153846</v>
      </c>
    </row>
    <row r="24" spans="1:7" x14ac:dyDescent="0.25">
      <c r="A24" s="24" t="s">
        <v>41</v>
      </c>
      <c r="B24" s="34">
        <f>+B15+B25</f>
        <v>15693854.675602626</v>
      </c>
    </row>
    <row r="25" spans="1:7" ht="29.25" customHeight="1" x14ac:dyDescent="0.25">
      <c r="A25" s="30" t="s">
        <v>42</v>
      </c>
      <c r="B25" s="34">
        <f>+B19*B8/B10</f>
        <v>12595955.80886538</v>
      </c>
    </row>
    <row r="26" spans="1:7" x14ac:dyDescent="0.25">
      <c r="F26" s="28"/>
    </row>
    <row r="27" spans="1:7" x14ac:dyDescent="0.25">
      <c r="F27" s="29"/>
    </row>
    <row r="28" spans="1:7" x14ac:dyDescent="0.25">
      <c r="F28" s="29"/>
    </row>
    <row r="29" spans="1:7" x14ac:dyDescent="0.25">
      <c r="F29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F93C-561A-4467-B281-0C9D59B7D9E7}">
  <dimension ref="A1:C26"/>
  <sheetViews>
    <sheetView workbookViewId="0">
      <selection activeCell="D18" sqref="D18"/>
    </sheetView>
  </sheetViews>
  <sheetFormatPr defaultRowHeight="15" x14ac:dyDescent="0.25"/>
  <cols>
    <col min="1" max="1" width="28.140625" customWidth="1"/>
    <col min="2" max="2" width="11.7109375" customWidth="1"/>
    <col min="3" max="3" width="14.28515625" bestFit="1" customWidth="1"/>
    <col min="4" max="5" width="11.140625" bestFit="1" customWidth="1"/>
    <col min="6" max="6" width="13.85546875" bestFit="1" customWidth="1"/>
    <col min="7" max="7" width="11.140625" bestFit="1" customWidth="1"/>
    <col min="15" max="15" width="12.7109375" bestFit="1" customWidth="1"/>
    <col min="18" max="18" width="13.85546875" bestFit="1" customWidth="1"/>
    <col min="20" max="20" width="12.7109375" customWidth="1"/>
  </cols>
  <sheetData>
    <row r="1" spans="1:3" x14ac:dyDescent="0.25">
      <c r="A1" s="25" t="s">
        <v>48</v>
      </c>
    </row>
    <row r="3" spans="1:3" x14ac:dyDescent="0.25">
      <c r="A3" s="24" t="s">
        <v>33</v>
      </c>
      <c r="B3" s="31">
        <v>300000</v>
      </c>
    </row>
    <row r="4" spans="1:3" x14ac:dyDescent="0.25">
      <c r="A4" s="24" t="s">
        <v>34</v>
      </c>
      <c r="B4" s="32">
        <v>4.7500000000000001E-2</v>
      </c>
    </row>
    <row r="5" spans="1:3" x14ac:dyDescent="0.25">
      <c r="A5" s="24" t="s">
        <v>35</v>
      </c>
      <c r="B5" s="32">
        <v>3.5000000000000001E-3</v>
      </c>
    </row>
    <row r="7" spans="1:3" x14ac:dyDescent="0.25">
      <c r="A7" s="24" t="s">
        <v>45</v>
      </c>
      <c r="B7" s="35">
        <v>0.87</v>
      </c>
    </row>
    <row r="8" spans="1:3" x14ac:dyDescent="0.25">
      <c r="A8" s="24" t="s">
        <v>47</v>
      </c>
      <c r="B8" s="18">
        <v>35</v>
      </c>
      <c r="C8" s="7"/>
    </row>
    <row r="9" spans="1:3" x14ac:dyDescent="0.25">
      <c r="A9" s="24" t="s">
        <v>38</v>
      </c>
      <c r="B9" s="32">
        <f>PMT(B4/12,B8*12,-1)*12+B5</f>
        <v>6.2162809387510162E-2</v>
      </c>
    </row>
    <row r="11" spans="1:3" x14ac:dyDescent="0.25">
      <c r="A11" s="36" t="s">
        <v>51</v>
      </c>
    </row>
    <row r="12" spans="1:3" x14ac:dyDescent="0.25">
      <c r="A12" s="24" t="s">
        <v>12</v>
      </c>
      <c r="B12" s="34">
        <v>2000000</v>
      </c>
    </row>
    <row r="13" spans="1:3" x14ac:dyDescent="0.25">
      <c r="A13" s="24" t="s">
        <v>13</v>
      </c>
      <c r="B13" s="34">
        <v>1100000</v>
      </c>
    </row>
    <row r="14" spans="1:3" x14ac:dyDescent="0.25">
      <c r="A14" s="24" t="s">
        <v>14</v>
      </c>
      <c r="B14" s="34">
        <f>+B12-B13</f>
        <v>900000</v>
      </c>
    </row>
    <row r="15" spans="1:3" x14ac:dyDescent="0.25">
      <c r="A15" s="24" t="s">
        <v>15</v>
      </c>
      <c r="B15" s="32">
        <v>6.5000000000000002E-2</v>
      </c>
    </row>
    <row r="16" spans="1:3" x14ac:dyDescent="0.25">
      <c r="A16" s="24" t="s">
        <v>16</v>
      </c>
      <c r="B16" s="34">
        <f>+B14/B15</f>
        <v>13846153.846153846</v>
      </c>
    </row>
    <row r="18" spans="1:2" x14ac:dyDescent="0.25">
      <c r="A18" s="36" t="s">
        <v>49</v>
      </c>
    </row>
    <row r="19" spans="1:2" x14ac:dyDescent="0.25">
      <c r="A19" s="24" t="s">
        <v>12</v>
      </c>
      <c r="B19" s="34">
        <v>2000000</v>
      </c>
    </row>
    <row r="20" spans="1:2" x14ac:dyDescent="0.25">
      <c r="A20" s="24" t="s">
        <v>13</v>
      </c>
      <c r="B20" s="34">
        <f>+B13-B3</f>
        <v>800000</v>
      </c>
    </row>
    <row r="21" spans="1:2" x14ac:dyDescent="0.25">
      <c r="A21" s="24" t="s">
        <v>14</v>
      </c>
      <c r="B21" s="34">
        <f>+B19-B20</f>
        <v>1200000</v>
      </c>
    </row>
    <row r="22" spans="1:2" x14ac:dyDescent="0.25">
      <c r="A22" s="24" t="s">
        <v>15</v>
      </c>
      <c r="B22" s="32">
        <v>6.5000000000000002E-2</v>
      </c>
    </row>
    <row r="23" spans="1:2" x14ac:dyDescent="0.25">
      <c r="A23" s="24" t="s">
        <v>16</v>
      </c>
      <c r="B23" s="34">
        <f>+B21/B22</f>
        <v>18461538.46153846</v>
      </c>
    </row>
    <row r="25" spans="1:2" x14ac:dyDescent="0.25">
      <c r="A25" s="24" t="s">
        <v>40</v>
      </c>
      <c r="B25" s="34">
        <f>+B23*B7</f>
        <v>16061538.46153846</v>
      </c>
    </row>
    <row r="26" spans="1:2" x14ac:dyDescent="0.25">
      <c r="A26" s="24" t="s">
        <v>41</v>
      </c>
      <c r="B26" s="34">
        <f>+B21*B7/B9</f>
        <v>16794607.745153841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E0AE-5511-486C-B59A-89E927F29B2A}">
  <dimension ref="A1:H31"/>
  <sheetViews>
    <sheetView workbookViewId="0">
      <selection activeCell="D3" sqref="D3"/>
    </sheetView>
  </sheetViews>
  <sheetFormatPr defaultRowHeight="15" x14ac:dyDescent="0.25"/>
  <cols>
    <col min="1" max="1" width="29" customWidth="1"/>
    <col min="2" max="2" width="11.5703125" bestFit="1" customWidth="1"/>
    <col min="3" max="3" width="14.28515625" bestFit="1" customWidth="1"/>
    <col min="4" max="4" width="11.5703125" bestFit="1" customWidth="1"/>
    <col min="5" max="5" width="11.140625" bestFit="1" customWidth="1"/>
    <col min="6" max="6" width="13.85546875" bestFit="1" customWidth="1"/>
    <col min="7" max="7" width="15.28515625" customWidth="1"/>
    <col min="8" max="8" width="19" bestFit="1" customWidth="1"/>
    <col min="15" max="15" width="12.7109375" bestFit="1" customWidth="1"/>
    <col min="18" max="18" width="13.85546875" bestFit="1" customWidth="1"/>
    <col min="20" max="20" width="12.7109375" customWidth="1"/>
  </cols>
  <sheetData>
    <row r="1" spans="1:8" x14ac:dyDescent="0.25">
      <c r="A1" s="25" t="s">
        <v>50</v>
      </c>
    </row>
    <row r="3" spans="1:8" x14ac:dyDescent="0.25">
      <c r="A3" s="24" t="s">
        <v>33</v>
      </c>
      <c r="B3" s="31">
        <v>300000</v>
      </c>
    </row>
    <row r="4" spans="1:8" x14ac:dyDescent="0.25">
      <c r="A4" s="24" t="s">
        <v>34</v>
      </c>
      <c r="B4" s="32">
        <v>4.7500000000000001E-2</v>
      </c>
    </row>
    <row r="5" spans="1:8" x14ac:dyDescent="0.25">
      <c r="A5" s="24" t="s">
        <v>35</v>
      </c>
      <c r="B5" s="32">
        <v>3.5000000000000001E-3</v>
      </c>
    </row>
    <row r="7" spans="1:8" x14ac:dyDescent="0.25">
      <c r="A7" s="36" t="s">
        <v>44</v>
      </c>
    </row>
    <row r="8" spans="1:8" x14ac:dyDescent="0.25">
      <c r="A8" s="24" t="s">
        <v>45</v>
      </c>
      <c r="B8" s="35">
        <v>0.87</v>
      </c>
    </row>
    <row r="9" spans="1:8" x14ac:dyDescent="0.25">
      <c r="A9" s="24" t="s">
        <v>47</v>
      </c>
      <c r="B9" s="18">
        <v>35</v>
      </c>
    </row>
    <row r="10" spans="1:8" x14ac:dyDescent="0.25">
      <c r="A10" s="24" t="s">
        <v>38</v>
      </c>
      <c r="B10" s="32">
        <f>PMT(B4/12,B9*12,-1)*12+B5</f>
        <v>6.2162809387510162E-2</v>
      </c>
    </row>
    <row r="12" spans="1:8" x14ac:dyDescent="0.25">
      <c r="A12" s="36" t="s">
        <v>43</v>
      </c>
    </row>
    <row r="13" spans="1:8" x14ac:dyDescent="0.25">
      <c r="A13" s="24" t="s">
        <v>52</v>
      </c>
      <c r="B13" s="18">
        <v>33</v>
      </c>
    </row>
    <row r="14" spans="1:8" x14ac:dyDescent="0.25">
      <c r="A14" s="24" t="s">
        <v>38</v>
      </c>
      <c r="B14" s="32">
        <f>PMT(B4/12,B13*12,-1)*12+B5</f>
        <v>6.3566689422388731E-2</v>
      </c>
    </row>
    <row r="15" spans="1:8" x14ac:dyDescent="0.25">
      <c r="A15" s="24" t="s">
        <v>39</v>
      </c>
      <c r="B15" s="33">
        <f>+B3/B14</f>
        <v>4719452.9513178868</v>
      </c>
      <c r="H15" s="5"/>
    </row>
    <row r="17" spans="1:8" x14ac:dyDescent="0.25">
      <c r="A17" s="24" t="s">
        <v>12</v>
      </c>
      <c r="B17" s="34">
        <v>2000000</v>
      </c>
    </row>
    <row r="18" spans="1:8" x14ac:dyDescent="0.25">
      <c r="A18" s="24" t="s">
        <v>13</v>
      </c>
      <c r="B18" s="34">
        <v>1100000</v>
      </c>
    </row>
    <row r="19" spans="1:8" x14ac:dyDescent="0.25">
      <c r="A19" s="24" t="s">
        <v>14</v>
      </c>
      <c r="B19" s="34">
        <f>+B17-B18</f>
        <v>900000</v>
      </c>
    </row>
    <row r="20" spans="1:8" x14ac:dyDescent="0.25">
      <c r="A20" s="24" t="s">
        <v>15</v>
      </c>
      <c r="B20" s="32">
        <v>0.05</v>
      </c>
    </row>
    <row r="21" spans="1:8" x14ac:dyDescent="0.25">
      <c r="A21" s="24" t="s">
        <v>16</v>
      </c>
      <c r="B21" s="34">
        <f>+B19/B20</f>
        <v>18000000</v>
      </c>
    </row>
    <row r="23" spans="1:8" x14ac:dyDescent="0.25">
      <c r="A23" s="24" t="s">
        <v>40</v>
      </c>
      <c r="B23" s="34">
        <f>+B21*B8</f>
        <v>15660000</v>
      </c>
      <c r="F23" s="4"/>
    </row>
    <row r="24" spans="1:8" x14ac:dyDescent="0.25">
      <c r="A24" s="24" t="s">
        <v>41</v>
      </c>
      <c r="B24" s="34">
        <f>+B15+B25</f>
        <v>17315408.760183267</v>
      </c>
    </row>
    <row r="25" spans="1:8" ht="45" x14ac:dyDescent="0.25">
      <c r="A25" s="30" t="s">
        <v>42</v>
      </c>
      <c r="B25" s="34">
        <f>+B19*B8/B10</f>
        <v>12595955.80886538</v>
      </c>
      <c r="E25" s="5"/>
      <c r="H25" s="5"/>
    </row>
    <row r="26" spans="1:8" x14ac:dyDescent="0.25">
      <c r="E26" s="5"/>
      <c r="H26" s="5"/>
    </row>
    <row r="27" spans="1:8" x14ac:dyDescent="0.25">
      <c r="E27" s="5"/>
    </row>
    <row r="28" spans="1:8" x14ac:dyDescent="0.25">
      <c r="E28" s="4"/>
      <c r="H28" s="5"/>
    </row>
    <row r="29" spans="1:8" x14ac:dyDescent="0.25">
      <c r="E29" s="5"/>
    </row>
    <row r="31" spans="1:8" x14ac:dyDescent="0.25">
      <c r="E31" s="5"/>
      <c r="H31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C74F-88D1-4F58-8115-6A7B555AA1F4}">
  <dimension ref="A1:H26"/>
  <sheetViews>
    <sheetView workbookViewId="0">
      <selection activeCell="D9" sqref="D9"/>
    </sheetView>
  </sheetViews>
  <sheetFormatPr defaultRowHeight="15" x14ac:dyDescent="0.25"/>
  <cols>
    <col min="1" max="1" width="29" customWidth="1"/>
    <col min="2" max="2" width="11.5703125" bestFit="1" customWidth="1"/>
    <col min="3" max="3" width="14.28515625" bestFit="1" customWidth="1"/>
    <col min="4" max="4" width="11.5703125" bestFit="1" customWidth="1"/>
    <col min="5" max="5" width="11.140625" bestFit="1" customWidth="1"/>
    <col min="6" max="6" width="13.85546875" bestFit="1" customWidth="1"/>
    <col min="7" max="7" width="15.28515625" customWidth="1"/>
    <col min="8" max="8" width="19" bestFit="1" customWidth="1"/>
    <col min="15" max="15" width="12.7109375" bestFit="1" customWidth="1"/>
    <col min="18" max="18" width="13.85546875" bestFit="1" customWidth="1"/>
    <col min="20" max="20" width="12.7109375" customWidth="1"/>
  </cols>
  <sheetData>
    <row r="1" spans="1:2" x14ac:dyDescent="0.25">
      <c r="A1" s="25" t="s">
        <v>54</v>
      </c>
    </row>
    <row r="3" spans="1:2" x14ac:dyDescent="0.25">
      <c r="A3" s="24" t="s">
        <v>33</v>
      </c>
      <c r="B3" s="31">
        <v>300000</v>
      </c>
    </row>
    <row r="4" spans="1:2" x14ac:dyDescent="0.25">
      <c r="A4" s="24" t="s">
        <v>34</v>
      </c>
      <c r="B4" s="32">
        <v>4.7500000000000001E-2</v>
      </c>
    </row>
    <row r="5" spans="1:2" x14ac:dyDescent="0.25">
      <c r="A5" s="24" t="s">
        <v>35</v>
      </c>
      <c r="B5" s="32">
        <v>3.5000000000000001E-3</v>
      </c>
    </row>
    <row r="7" spans="1:2" x14ac:dyDescent="0.25">
      <c r="A7" s="36" t="s">
        <v>44</v>
      </c>
    </row>
    <row r="8" spans="1:2" x14ac:dyDescent="0.25">
      <c r="A8" s="24" t="s">
        <v>45</v>
      </c>
      <c r="B8" s="35">
        <v>0.87</v>
      </c>
    </row>
    <row r="9" spans="1:2" x14ac:dyDescent="0.25">
      <c r="A9" s="24" t="s">
        <v>47</v>
      </c>
      <c r="B9" s="18">
        <v>33</v>
      </c>
    </row>
    <row r="10" spans="1:2" x14ac:dyDescent="0.25">
      <c r="A10" s="24" t="s">
        <v>38</v>
      </c>
      <c r="B10" s="32">
        <f>PMT(B4/12,B9*12,-1)*12+B5</f>
        <v>6.3566689422388731E-2</v>
      </c>
    </row>
    <row r="12" spans="1:2" x14ac:dyDescent="0.25">
      <c r="A12" s="24" t="s">
        <v>12</v>
      </c>
      <c r="B12" s="34">
        <v>2000000</v>
      </c>
    </row>
    <row r="13" spans="1:2" x14ac:dyDescent="0.25">
      <c r="A13" s="24" t="s">
        <v>13</v>
      </c>
      <c r="B13" s="34">
        <f>+'Example 4.1'!B18-'Example 4.2'!B3</f>
        <v>800000</v>
      </c>
    </row>
    <row r="14" spans="1:2" x14ac:dyDescent="0.25">
      <c r="A14" s="24" t="s">
        <v>14</v>
      </c>
      <c r="B14" s="34">
        <f>+B12-B13</f>
        <v>1200000</v>
      </c>
    </row>
    <row r="15" spans="1:2" x14ac:dyDescent="0.25">
      <c r="A15" s="24" t="s">
        <v>15</v>
      </c>
      <c r="B15" s="32">
        <v>0.05</v>
      </c>
    </row>
    <row r="16" spans="1:2" x14ac:dyDescent="0.25">
      <c r="A16" s="24" t="s">
        <v>16</v>
      </c>
      <c r="B16" s="34">
        <f>+B14/B15</f>
        <v>24000000</v>
      </c>
    </row>
    <row r="18" spans="1:8" x14ac:dyDescent="0.25">
      <c r="A18" s="24" t="s">
        <v>40</v>
      </c>
      <c r="B18" s="34">
        <f>+B16*B8</f>
        <v>20880000</v>
      </c>
      <c r="F18" s="4"/>
    </row>
    <row r="19" spans="1:8" x14ac:dyDescent="0.25">
      <c r="A19" s="24" t="s">
        <v>41</v>
      </c>
      <c r="B19" s="34">
        <f>+B14*B8/B10</f>
        <v>16423696.270586247</v>
      </c>
    </row>
    <row r="20" spans="1:8" x14ac:dyDescent="0.25">
      <c r="B20" s="5"/>
      <c r="E20" s="5"/>
      <c r="H20" s="5"/>
    </row>
    <row r="21" spans="1:8" ht="30" x14ac:dyDescent="0.25">
      <c r="A21" s="30" t="s">
        <v>53</v>
      </c>
      <c r="B21" s="34">
        <f>+B19-'Example 4.1'!B23</f>
        <v>763696.27058624662</v>
      </c>
      <c r="E21" s="5"/>
    </row>
    <row r="22" spans="1:8" x14ac:dyDescent="0.25">
      <c r="E22" s="5"/>
    </row>
    <row r="23" spans="1:8" x14ac:dyDescent="0.25">
      <c r="E23" s="4"/>
      <c r="H23" s="5"/>
    </row>
    <row r="24" spans="1:8" x14ac:dyDescent="0.25">
      <c r="E24" s="5"/>
    </row>
    <row r="26" spans="1:8" x14ac:dyDescent="0.25">
      <c r="E26" s="5"/>
      <c r="H26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BCF0-0114-458E-9848-D1026350CE87}">
  <dimension ref="A1:F18"/>
  <sheetViews>
    <sheetView workbookViewId="0">
      <selection activeCell="D9" sqref="D9"/>
    </sheetView>
  </sheetViews>
  <sheetFormatPr defaultRowHeight="15" x14ac:dyDescent="0.25"/>
  <cols>
    <col min="1" max="1" width="28.5703125" customWidth="1"/>
    <col min="2" max="2" width="9.85546875" customWidth="1"/>
    <col min="4" max="4" width="14.7109375" bestFit="1" customWidth="1"/>
    <col min="5" max="5" width="11.140625" bestFit="1" customWidth="1"/>
    <col min="9" max="9" width="11.140625" bestFit="1" customWidth="1"/>
    <col min="13" max="13" width="20.42578125" bestFit="1" customWidth="1"/>
  </cols>
  <sheetData>
    <row r="1" spans="1:6" x14ac:dyDescent="0.25">
      <c r="A1" s="25" t="s">
        <v>55</v>
      </c>
    </row>
    <row r="3" spans="1:6" x14ac:dyDescent="0.25">
      <c r="A3" s="24" t="s">
        <v>33</v>
      </c>
      <c r="B3" s="34">
        <v>150000</v>
      </c>
    </row>
    <row r="4" spans="1:6" x14ac:dyDescent="0.25">
      <c r="A4" s="24" t="s">
        <v>34</v>
      </c>
      <c r="B4" s="32">
        <v>0.06</v>
      </c>
    </row>
    <row r="5" spans="1:6" x14ac:dyDescent="0.25">
      <c r="A5" s="24" t="s">
        <v>35</v>
      </c>
      <c r="B5" s="32">
        <v>6.4999999999999997E-3</v>
      </c>
    </row>
    <row r="7" spans="1:6" x14ac:dyDescent="0.25">
      <c r="A7" s="24" t="s">
        <v>17</v>
      </c>
      <c r="B7" s="34">
        <v>750000</v>
      </c>
      <c r="F7" s="3"/>
    </row>
    <row r="8" spans="1:6" x14ac:dyDescent="0.25">
      <c r="A8" s="24" t="s">
        <v>18</v>
      </c>
      <c r="B8" s="34">
        <v>2000</v>
      </c>
    </row>
    <row r="9" spans="1:6" x14ac:dyDescent="0.25">
      <c r="A9" s="24" t="s">
        <v>19</v>
      </c>
      <c r="B9" s="34">
        <v>15000</v>
      </c>
    </row>
    <row r="10" spans="1:6" x14ac:dyDescent="0.25">
      <c r="A10" s="24" t="s">
        <v>20</v>
      </c>
      <c r="B10" s="34">
        <v>30000</v>
      </c>
      <c r="E10" s="5"/>
      <c r="F10" s="3"/>
    </row>
    <row r="11" spans="1:6" x14ac:dyDescent="0.25">
      <c r="A11" s="24" t="s">
        <v>22</v>
      </c>
      <c r="B11" s="34">
        <f>+SUM(B7:B10)*-7%</f>
        <v>-55790.000000000007</v>
      </c>
    </row>
    <row r="12" spans="1:6" x14ac:dyDescent="0.25">
      <c r="A12" s="24" t="s">
        <v>21</v>
      </c>
      <c r="B12" s="34">
        <f>SUM(B7:B11)</f>
        <v>741210</v>
      </c>
    </row>
    <row r="14" spans="1:6" x14ac:dyDescent="0.25">
      <c r="A14" s="24" t="s">
        <v>59</v>
      </c>
      <c r="B14" s="18">
        <v>15</v>
      </c>
    </row>
    <row r="15" spans="1:6" x14ac:dyDescent="0.25">
      <c r="A15" s="24" t="s">
        <v>56</v>
      </c>
      <c r="B15" s="34">
        <f>+B12*0.15</f>
        <v>111181.5</v>
      </c>
    </row>
    <row r="16" spans="1:6" x14ac:dyDescent="0.25">
      <c r="A16" s="24" t="s">
        <v>57</v>
      </c>
      <c r="B16" s="34">
        <f>+B3-B15</f>
        <v>38818.5</v>
      </c>
    </row>
    <row r="17" spans="1:2" x14ac:dyDescent="0.25">
      <c r="A17" s="24" t="s">
        <v>38</v>
      </c>
      <c r="B17" s="32">
        <f>PMT(B4/12,B14*12,-1)*12+B5</f>
        <v>0.10776281936581417</v>
      </c>
    </row>
    <row r="18" spans="1:2" x14ac:dyDescent="0.25">
      <c r="A18" s="24" t="s">
        <v>58</v>
      </c>
      <c r="B18" s="34">
        <f>+B16/B17</f>
        <v>360221.64442659781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7401-A2D5-4FBD-A98C-F0C954C2077B}">
  <dimension ref="A1:R34"/>
  <sheetViews>
    <sheetView workbookViewId="0">
      <selection activeCell="E5" sqref="E5"/>
    </sheetView>
  </sheetViews>
  <sheetFormatPr defaultRowHeight="15" x14ac:dyDescent="0.25"/>
  <cols>
    <col min="1" max="1" width="30.5703125" customWidth="1"/>
    <col min="2" max="16" width="10.7109375" customWidth="1"/>
    <col min="18" max="18" width="16.28515625" bestFit="1" customWidth="1"/>
  </cols>
  <sheetData>
    <row r="1" spans="1:18" x14ac:dyDescent="0.25">
      <c r="A1" s="25" t="s">
        <v>64</v>
      </c>
      <c r="B1" s="25"/>
      <c r="C1" s="25"/>
    </row>
    <row r="2" spans="1:18" x14ac:dyDescent="0.25">
      <c r="R2" s="3"/>
    </row>
    <row r="3" spans="1:18" x14ac:dyDescent="0.25">
      <c r="A3" s="24" t="s">
        <v>33</v>
      </c>
      <c r="B3" s="34">
        <v>150000</v>
      </c>
    </row>
    <row r="4" spans="1:18" x14ac:dyDescent="0.25">
      <c r="A4" s="24" t="s">
        <v>34</v>
      </c>
      <c r="B4" s="32">
        <v>0.06</v>
      </c>
      <c r="L4" s="5"/>
    </row>
    <row r="5" spans="1:18" x14ac:dyDescent="0.25">
      <c r="A5" s="24" t="s">
        <v>35</v>
      </c>
      <c r="B5" s="32">
        <v>6.4999999999999997E-3</v>
      </c>
      <c r="L5" s="5"/>
    </row>
    <row r="6" spans="1:18" x14ac:dyDescent="0.25">
      <c r="N6" s="4"/>
    </row>
    <row r="7" spans="1:18" x14ac:dyDescent="0.25">
      <c r="A7" s="24" t="s">
        <v>65</v>
      </c>
    </row>
    <row r="8" spans="1:18" x14ac:dyDescent="0.25">
      <c r="A8" s="24" t="s">
        <v>66</v>
      </c>
      <c r="B8" s="35">
        <v>0.5</v>
      </c>
      <c r="C8" s="34">
        <f>+$B$3*B8</f>
        <v>75000</v>
      </c>
      <c r="D8" s="1"/>
      <c r="Q8" s="3"/>
    </row>
    <row r="9" spans="1:18" x14ac:dyDescent="0.25">
      <c r="A9" s="24" t="s">
        <v>67</v>
      </c>
      <c r="B9" s="35">
        <v>0.7</v>
      </c>
      <c r="C9" s="34">
        <f>+$B$3*B9</f>
        <v>105000</v>
      </c>
      <c r="D9" s="2"/>
    </row>
    <row r="10" spans="1:18" x14ac:dyDescent="0.25">
      <c r="A10" s="24" t="s">
        <v>68</v>
      </c>
      <c r="B10" s="35">
        <v>0.9</v>
      </c>
      <c r="C10" s="34">
        <f>+$B$3*B10</f>
        <v>135000</v>
      </c>
      <c r="D10" s="2"/>
      <c r="I10" s="5"/>
      <c r="J10" s="3"/>
    </row>
    <row r="12" spans="1:18" x14ac:dyDescent="0.25">
      <c r="A12" s="24" t="s">
        <v>69</v>
      </c>
      <c r="B12" s="26">
        <v>1</v>
      </c>
      <c r="C12" s="26">
        <f>+B12+1</f>
        <v>2</v>
      </c>
      <c r="D12" s="26">
        <f t="shared" ref="D12:P12" si="0">+C12+1</f>
        <v>3</v>
      </c>
      <c r="E12" s="26">
        <f t="shared" si="0"/>
        <v>4</v>
      </c>
      <c r="F12" s="26">
        <f t="shared" si="0"/>
        <v>5</v>
      </c>
      <c r="G12" s="26">
        <f t="shared" si="0"/>
        <v>6</v>
      </c>
      <c r="H12" s="26">
        <f t="shared" si="0"/>
        <v>7</v>
      </c>
      <c r="I12" s="26">
        <f t="shared" si="0"/>
        <v>8</v>
      </c>
      <c r="J12" s="26">
        <f t="shared" si="0"/>
        <v>9</v>
      </c>
      <c r="K12" s="26">
        <f t="shared" si="0"/>
        <v>10</v>
      </c>
      <c r="L12" s="26">
        <f t="shared" si="0"/>
        <v>11</v>
      </c>
      <c r="M12" s="26">
        <f t="shared" si="0"/>
        <v>12</v>
      </c>
      <c r="N12" s="26">
        <f t="shared" si="0"/>
        <v>13</v>
      </c>
      <c r="O12" s="26">
        <f t="shared" si="0"/>
        <v>14</v>
      </c>
      <c r="P12" s="26">
        <f t="shared" si="0"/>
        <v>15</v>
      </c>
    </row>
    <row r="13" spans="1:18" x14ac:dyDescent="0.25">
      <c r="A13" s="24" t="s">
        <v>17</v>
      </c>
      <c r="B13" s="19">
        <v>750000</v>
      </c>
      <c r="C13" s="19">
        <f>+B13*(1+2%)</f>
        <v>765000</v>
      </c>
      <c r="D13" s="19">
        <f t="shared" ref="D13:P13" si="1">+C13*(1+2%)</f>
        <v>780300</v>
      </c>
      <c r="E13" s="19">
        <f t="shared" si="1"/>
        <v>795906</v>
      </c>
      <c r="F13" s="19">
        <f t="shared" si="1"/>
        <v>811824.12</v>
      </c>
      <c r="G13" s="19">
        <f t="shared" si="1"/>
        <v>828060.60239999997</v>
      </c>
      <c r="H13" s="19">
        <f t="shared" si="1"/>
        <v>844621.81444799993</v>
      </c>
      <c r="I13" s="19">
        <f t="shared" si="1"/>
        <v>861514.25073695998</v>
      </c>
      <c r="J13" s="19">
        <f t="shared" si="1"/>
        <v>878744.53575169924</v>
      </c>
      <c r="K13" s="19">
        <f t="shared" si="1"/>
        <v>896319.42646673322</v>
      </c>
      <c r="L13" s="19">
        <f t="shared" si="1"/>
        <v>914245.8149960679</v>
      </c>
      <c r="M13" s="19">
        <f t="shared" si="1"/>
        <v>932530.73129598924</v>
      </c>
      <c r="N13" s="19">
        <f t="shared" si="1"/>
        <v>951181.34592190909</v>
      </c>
      <c r="O13" s="19">
        <f t="shared" si="1"/>
        <v>970204.97284034733</v>
      </c>
      <c r="P13" s="19">
        <f t="shared" si="1"/>
        <v>989609.07229715434</v>
      </c>
    </row>
    <row r="14" spans="1:18" x14ac:dyDescent="0.25">
      <c r="A14" s="24" t="s">
        <v>18</v>
      </c>
      <c r="B14" s="19">
        <v>2000</v>
      </c>
      <c r="C14" s="19">
        <f>+B14*(1+2%)</f>
        <v>2040</v>
      </c>
      <c r="D14" s="19">
        <f t="shared" ref="D14:P14" si="2">+C14*(1+2%)</f>
        <v>2080.8000000000002</v>
      </c>
      <c r="E14" s="19">
        <f t="shared" si="2"/>
        <v>2122.4160000000002</v>
      </c>
      <c r="F14" s="19">
        <f t="shared" si="2"/>
        <v>2164.8643200000001</v>
      </c>
      <c r="G14" s="19">
        <f t="shared" si="2"/>
        <v>2208.1616064</v>
      </c>
      <c r="H14" s="19">
        <f t="shared" si="2"/>
        <v>2252.3248385279999</v>
      </c>
      <c r="I14" s="19">
        <f t="shared" si="2"/>
        <v>2297.3713352985601</v>
      </c>
      <c r="J14" s="19">
        <f t="shared" si="2"/>
        <v>2343.3187620045314</v>
      </c>
      <c r="K14" s="19">
        <f t="shared" si="2"/>
        <v>2390.1851372446222</v>
      </c>
      <c r="L14" s="19">
        <f t="shared" si="2"/>
        <v>2437.9888399895149</v>
      </c>
      <c r="M14" s="19">
        <f t="shared" si="2"/>
        <v>2486.7486167893053</v>
      </c>
      <c r="N14" s="19">
        <f t="shared" si="2"/>
        <v>2536.4835891250914</v>
      </c>
      <c r="O14" s="19">
        <f t="shared" si="2"/>
        <v>2587.2132609075934</v>
      </c>
      <c r="P14" s="19">
        <f t="shared" si="2"/>
        <v>2638.9575261257455</v>
      </c>
    </row>
    <row r="15" spans="1:18" x14ac:dyDescent="0.25">
      <c r="A15" s="24" t="s">
        <v>19</v>
      </c>
      <c r="B15" s="19">
        <v>15000</v>
      </c>
      <c r="C15" s="19">
        <f>+B15*(1+2%)</f>
        <v>15300</v>
      </c>
      <c r="D15" s="19">
        <f t="shared" ref="D15:P15" si="3">+C15*(1+2%)</f>
        <v>15606</v>
      </c>
      <c r="E15" s="19">
        <f t="shared" si="3"/>
        <v>15918.12</v>
      </c>
      <c r="F15" s="19">
        <f t="shared" si="3"/>
        <v>16236.482400000001</v>
      </c>
      <c r="G15" s="19">
        <f t="shared" si="3"/>
        <v>16561.212048000001</v>
      </c>
      <c r="H15" s="19">
        <f t="shared" si="3"/>
        <v>16892.436288960002</v>
      </c>
      <c r="I15" s="19">
        <f t="shared" si="3"/>
        <v>17230.285014739202</v>
      </c>
      <c r="J15" s="19">
        <f t="shared" si="3"/>
        <v>17574.890715033987</v>
      </c>
      <c r="K15" s="19">
        <f t="shared" si="3"/>
        <v>17926.388529334668</v>
      </c>
      <c r="L15" s="19">
        <f t="shared" si="3"/>
        <v>18284.916299921362</v>
      </c>
      <c r="M15" s="19">
        <f t="shared" si="3"/>
        <v>18650.614625919789</v>
      </c>
      <c r="N15" s="19">
        <f t="shared" si="3"/>
        <v>19023.626918438185</v>
      </c>
      <c r="O15" s="19">
        <f t="shared" si="3"/>
        <v>19404.099456806951</v>
      </c>
      <c r="P15" s="19">
        <f t="shared" si="3"/>
        <v>19792.18144594309</v>
      </c>
    </row>
    <row r="16" spans="1:18" x14ac:dyDescent="0.25">
      <c r="A16" s="24" t="s">
        <v>20</v>
      </c>
      <c r="B16" s="19">
        <v>30000</v>
      </c>
      <c r="C16" s="19">
        <f>+B16*(1+2%)</f>
        <v>30600</v>
      </c>
      <c r="D16" s="19">
        <f t="shared" ref="D16:P16" si="4">+C16*(1+2%)</f>
        <v>31212</v>
      </c>
      <c r="E16" s="19">
        <f t="shared" si="4"/>
        <v>31836.240000000002</v>
      </c>
      <c r="F16" s="19">
        <f t="shared" si="4"/>
        <v>32472.964800000002</v>
      </c>
      <c r="G16" s="19">
        <f t="shared" si="4"/>
        <v>33122.424096000002</v>
      </c>
      <c r="H16" s="19">
        <f t="shared" si="4"/>
        <v>33784.872577920003</v>
      </c>
      <c r="I16" s="19">
        <f t="shared" si="4"/>
        <v>34460.570029478404</v>
      </c>
      <c r="J16" s="19">
        <f t="shared" si="4"/>
        <v>35149.781430067975</v>
      </c>
      <c r="K16" s="19">
        <f t="shared" si="4"/>
        <v>35852.777058669337</v>
      </c>
      <c r="L16" s="19">
        <f t="shared" si="4"/>
        <v>36569.832599842724</v>
      </c>
      <c r="M16" s="19">
        <f t="shared" si="4"/>
        <v>37301.229251839577</v>
      </c>
      <c r="N16" s="19">
        <f t="shared" si="4"/>
        <v>38047.253836876371</v>
      </c>
      <c r="O16" s="19">
        <f t="shared" si="4"/>
        <v>38808.198913613902</v>
      </c>
      <c r="P16" s="19">
        <f t="shared" si="4"/>
        <v>39584.36289188618</v>
      </c>
    </row>
    <row r="17" spans="1:16" x14ac:dyDescent="0.25">
      <c r="A17" s="24" t="s">
        <v>22</v>
      </c>
      <c r="B17" s="19">
        <f>+SUM(B13:B16)*-7%</f>
        <v>-55790.000000000007</v>
      </c>
      <c r="C17" s="19">
        <f>+SUM(C13:C16)*-7%</f>
        <v>-56905.8</v>
      </c>
      <c r="D17" s="19">
        <f>+SUM(D13:D16)*-7%</f>
        <v>-58043.916000000012</v>
      </c>
      <c r="E17" s="19">
        <f t="shared" ref="C17:P17" si="5">+SUM(E13:E16)*-7%</f>
        <v>-59204.794320000001</v>
      </c>
      <c r="F17" s="19">
        <f t="shared" si="5"/>
        <v>-60388.890206400007</v>
      </c>
      <c r="G17" s="19">
        <f t="shared" si="5"/>
        <v>-61596.668010528003</v>
      </c>
      <c r="H17" s="19">
        <f t="shared" si="5"/>
        <v>-62828.601370738557</v>
      </c>
      <c r="I17" s="19">
        <f t="shared" si="5"/>
        <v>-64085.17339815334</v>
      </c>
      <c r="J17" s="19">
        <f t="shared" si="5"/>
        <v>-65366.876866116399</v>
      </c>
      <c r="K17" s="19">
        <f t="shared" si="5"/>
        <v>-66674.214403438746</v>
      </c>
      <c r="L17" s="19">
        <f t="shared" si="5"/>
        <v>-68007.69869150751</v>
      </c>
      <c r="M17" s="19">
        <f t="shared" si="5"/>
        <v>-69367.852665337661</v>
      </c>
      <c r="N17" s="19">
        <f t="shared" si="5"/>
        <v>-70755.209718644415</v>
      </c>
      <c r="O17" s="19">
        <f t="shared" si="5"/>
        <v>-72170.313913017308</v>
      </c>
      <c r="P17" s="19">
        <f t="shared" si="5"/>
        <v>-73613.720191277651</v>
      </c>
    </row>
    <row r="18" spans="1:16" x14ac:dyDescent="0.25">
      <c r="A18" s="24" t="s">
        <v>21</v>
      </c>
      <c r="B18" s="19">
        <f>SUM(B13:B17)</f>
        <v>741210</v>
      </c>
      <c r="C18" s="19">
        <f>SUM(C13:C17)</f>
        <v>756034.2</v>
      </c>
      <c r="D18" s="19">
        <f t="shared" ref="D18:P18" si="6">SUM(D13:D17)</f>
        <v>771154.88400000008</v>
      </c>
      <c r="E18" s="19">
        <f t="shared" si="6"/>
        <v>786577.98167999997</v>
      </c>
      <c r="F18" s="19">
        <f t="shared" si="6"/>
        <v>802309.54131360003</v>
      </c>
      <c r="G18" s="19">
        <f t="shared" si="6"/>
        <v>818355.73213987204</v>
      </c>
      <c r="H18" s="19">
        <f t="shared" si="6"/>
        <v>834722.84678266931</v>
      </c>
      <c r="I18" s="19">
        <f t="shared" si="6"/>
        <v>851417.30371832277</v>
      </c>
      <c r="J18" s="19">
        <f t="shared" si="6"/>
        <v>868445.64979268925</v>
      </c>
      <c r="K18" s="19">
        <f t="shared" si="6"/>
        <v>885814.56278854317</v>
      </c>
      <c r="L18" s="19">
        <f t="shared" si="6"/>
        <v>903530.85404431401</v>
      </c>
      <c r="M18" s="19">
        <f t="shared" si="6"/>
        <v>921601.47112520039</v>
      </c>
      <c r="N18" s="19">
        <f t="shared" si="6"/>
        <v>940033.5005477044</v>
      </c>
      <c r="O18" s="19">
        <f t="shared" si="6"/>
        <v>958834.17055865843</v>
      </c>
      <c r="P18" s="19">
        <f t="shared" si="6"/>
        <v>978010.8539698316</v>
      </c>
    </row>
    <row r="19" spans="1:16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40" t="s">
        <v>75</v>
      </c>
      <c r="B20" s="46">
        <f>+B18*15%</f>
        <v>111181.5</v>
      </c>
      <c r="C20" s="46">
        <f t="shared" ref="C20:P20" si="7">+C18*15%</f>
        <v>113405.12999999999</v>
      </c>
      <c r="D20" s="46">
        <f t="shared" si="7"/>
        <v>115673.2326</v>
      </c>
      <c r="E20" s="46">
        <f t="shared" si="7"/>
        <v>117986.69725199998</v>
      </c>
      <c r="F20" s="46">
        <f t="shared" si="7"/>
        <v>120346.43119704</v>
      </c>
      <c r="G20" s="46">
        <f t="shared" si="7"/>
        <v>122753.3598209808</v>
      </c>
      <c r="H20" s="19">
        <f t="shared" si="7"/>
        <v>125208.42701740039</v>
      </c>
      <c r="I20" s="19">
        <f t="shared" si="7"/>
        <v>127712.59555774841</v>
      </c>
      <c r="J20" s="19">
        <f t="shared" si="7"/>
        <v>130266.84746890338</v>
      </c>
      <c r="K20" s="19">
        <f t="shared" si="7"/>
        <v>132872.18441828148</v>
      </c>
      <c r="L20" s="19">
        <f t="shared" si="7"/>
        <v>135529.62810664708</v>
      </c>
      <c r="M20" s="19">
        <f t="shared" si="7"/>
        <v>138240.22066878006</v>
      </c>
      <c r="N20" s="19">
        <f t="shared" si="7"/>
        <v>141005.02508215565</v>
      </c>
      <c r="O20" s="19">
        <f t="shared" si="7"/>
        <v>143825.12558379877</v>
      </c>
      <c r="P20" s="19">
        <f t="shared" si="7"/>
        <v>146701.62809547473</v>
      </c>
    </row>
    <row r="21" spans="1:16" x14ac:dyDescent="0.25">
      <c r="A21" s="40" t="s">
        <v>24</v>
      </c>
      <c r="B21" s="19">
        <v>150000</v>
      </c>
      <c r="C21" s="19">
        <f>+B21*(1+3%)</f>
        <v>154500</v>
      </c>
      <c r="D21" s="19">
        <f t="shared" ref="D21:P21" si="8">+C21*(1+3%)</f>
        <v>159135</v>
      </c>
      <c r="E21" s="19">
        <f t="shared" si="8"/>
        <v>163909.05000000002</v>
      </c>
      <c r="F21" s="19">
        <f t="shared" si="8"/>
        <v>168826.32150000002</v>
      </c>
      <c r="G21" s="19">
        <f t="shared" si="8"/>
        <v>173891.11114500003</v>
      </c>
      <c r="H21" s="19">
        <f t="shared" si="8"/>
        <v>179107.84447935002</v>
      </c>
      <c r="I21" s="19">
        <f t="shared" si="8"/>
        <v>184481.07981373052</v>
      </c>
      <c r="J21" s="19">
        <f t="shared" si="8"/>
        <v>190015.51220814243</v>
      </c>
      <c r="K21" s="19">
        <f t="shared" si="8"/>
        <v>195715.97757438672</v>
      </c>
      <c r="L21" s="19">
        <f t="shared" si="8"/>
        <v>201587.45690161834</v>
      </c>
      <c r="M21" s="19">
        <f t="shared" si="8"/>
        <v>207635.0806086669</v>
      </c>
      <c r="N21" s="19">
        <f t="shared" si="8"/>
        <v>213864.13302692692</v>
      </c>
      <c r="O21" s="19">
        <f t="shared" si="8"/>
        <v>220280.05701773474</v>
      </c>
      <c r="P21" s="19">
        <f t="shared" si="8"/>
        <v>226888.45872826679</v>
      </c>
    </row>
    <row r="22" spans="1:16" x14ac:dyDescent="0.25">
      <c r="A22" s="40" t="s">
        <v>25</v>
      </c>
      <c r="B22" s="19">
        <f>+B21*$B$8</f>
        <v>75000</v>
      </c>
      <c r="C22" s="19">
        <f>+C21*$B$8</f>
        <v>77250</v>
      </c>
      <c r="D22" s="19">
        <f>+D21*$B$8</f>
        <v>79567.5</v>
      </c>
      <c r="E22" s="19">
        <f>+E21*$B$8</f>
        <v>81954.525000000009</v>
      </c>
      <c r="F22" s="19">
        <f>+F21*$B$8</f>
        <v>84413.16075000001</v>
      </c>
      <c r="G22" s="19">
        <f>+G21*$B$9</f>
        <v>121723.77780150001</v>
      </c>
      <c r="H22" s="46">
        <f>+H21*$B$9</f>
        <v>125375.491135545</v>
      </c>
      <c r="I22" s="46">
        <f>+I21*$B$9</f>
        <v>129136.75586961136</v>
      </c>
      <c r="J22" s="46">
        <f>+J21*$B$9</f>
        <v>133010.85854569971</v>
      </c>
      <c r="K22" s="46">
        <f>+K21*$B$9</f>
        <v>137001.1843020707</v>
      </c>
      <c r="L22" s="46">
        <f>+L21*$B$10</f>
        <v>181428.71121145651</v>
      </c>
      <c r="M22" s="46">
        <f>+M21*$B$10</f>
        <v>186871.57254780023</v>
      </c>
      <c r="N22" s="46">
        <f>+N21*$B$10</f>
        <v>192477.71972423422</v>
      </c>
      <c r="O22" s="46">
        <f>+O21*$B$10</f>
        <v>198252.05131596126</v>
      </c>
      <c r="P22" s="46">
        <f>+P21*$B$10</f>
        <v>204199.61285544012</v>
      </c>
    </row>
    <row r="23" spans="1:16" x14ac:dyDescent="0.25">
      <c r="A23" s="40" t="s">
        <v>23</v>
      </c>
      <c r="B23" s="19">
        <f>+MAX(B20,B22)</f>
        <v>111181.5</v>
      </c>
      <c r="C23" s="19">
        <f>+MAX(C20,C22)</f>
        <v>113405.12999999999</v>
      </c>
      <c r="D23" s="19">
        <f>+MAX(D20,D22)</f>
        <v>115673.2326</v>
      </c>
      <c r="E23" s="19">
        <f>+MAX(E20,E22)</f>
        <v>117986.69725199998</v>
      </c>
      <c r="F23" s="19">
        <f>+MAX(F20,F22)</f>
        <v>120346.43119704</v>
      </c>
      <c r="G23" s="19">
        <f>+MAX(G20,G22)</f>
        <v>122753.3598209808</v>
      </c>
      <c r="H23" s="19">
        <f>+MAX(H20,H22)</f>
        <v>125375.491135545</v>
      </c>
      <c r="I23" s="19">
        <f>+MAX(I20,I22)</f>
        <v>129136.75586961136</v>
      </c>
      <c r="J23" s="19">
        <f>+MAX(J20,J22)</f>
        <v>133010.85854569971</v>
      </c>
      <c r="K23" s="19">
        <f>+MAX(K20,K22)</f>
        <v>137001.1843020707</v>
      </c>
      <c r="L23" s="19">
        <f>+MAX(L20,L22)</f>
        <v>181428.71121145651</v>
      </c>
      <c r="M23" s="19">
        <f>+MAX(M20,M22)</f>
        <v>186871.57254780023</v>
      </c>
      <c r="N23" s="19">
        <f>+MAX(N20,N22)</f>
        <v>192477.71972423422</v>
      </c>
      <c r="O23" s="19">
        <f>+MAX(O20,O22)</f>
        <v>198252.05131596126</v>
      </c>
      <c r="P23" s="19">
        <f>+MAX(P20,P22)</f>
        <v>204199.61285544012</v>
      </c>
    </row>
    <row r="24" spans="1:16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5">
      <c r="A25" s="24" t="s">
        <v>26</v>
      </c>
      <c r="B25" s="41">
        <f>+B21-B23</f>
        <v>38818.5</v>
      </c>
      <c r="C25" s="41">
        <f>+C21-C23</f>
        <v>41094.87000000001</v>
      </c>
      <c r="D25" s="41">
        <f>+D21-D23</f>
        <v>43461.767399999997</v>
      </c>
      <c r="E25" s="41">
        <f>+E21-E23</f>
        <v>45922.352748000034</v>
      </c>
      <c r="F25" s="41">
        <f>+F21-F23</f>
        <v>48479.890302960019</v>
      </c>
      <c r="G25" s="41">
        <f>+G21-G23</f>
        <v>51137.751324019235</v>
      </c>
      <c r="H25" s="41">
        <f>+H21-H23</f>
        <v>53732.353343805022</v>
      </c>
      <c r="I25" s="41">
        <f>+I21-I23</f>
        <v>55344.323944119169</v>
      </c>
      <c r="J25" s="41">
        <f>+J21-J23</f>
        <v>57004.653662442724</v>
      </c>
      <c r="K25" s="41">
        <f>+K21-K23</f>
        <v>58714.793272316019</v>
      </c>
      <c r="L25" s="42">
        <f>+L21-L23</f>
        <v>20158.745690161828</v>
      </c>
      <c r="M25" s="42">
        <f>+M21-M23</f>
        <v>20763.508060866676</v>
      </c>
      <c r="N25" s="42">
        <f>+N21-N23</f>
        <v>21386.413302692701</v>
      </c>
      <c r="O25" s="42">
        <f>+O21-O23</f>
        <v>22028.00570177348</v>
      </c>
      <c r="P25" s="42">
        <f>+P21-P23</f>
        <v>22688.845872826671</v>
      </c>
    </row>
    <row r="27" spans="1:16" x14ac:dyDescent="0.25">
      <c r="A27" s="24" t="s">
        <v>70</v>
      </c>
      <c r="B27" s="45" t="s">
        <v>71</v>
      </c>
      <c r="C27" s="44" t="s">
        <v>3</v>
      </c>
    </row>
    <row r="28" spans="1:16" x14ac:dyDescent="0.25">
      <c r="A28" s="24" t="s">
        <v>63</v>
      </c>
      <c r="B28" s="19">
        <f>+B25</f>
        <v>38818.5</v>
      </c>
      <c r="C28" s="19">
        <f>+L25</f>
        <v>20158.745690161828</v>
      </c>
    </row>
    <row r="29" spans="1:16" x14ac:dyDescent="0.25">
      <c r="A29" s="24" t="s">
        <v>72</v>
      </c>
      <c r="B29" s="19">
        <f>+B28-C29</f>
        <v>18659.754309838172</v>
      </c>
      <c r="C29" s="19">
        <f>+C28</f>
        <v>20158.745690161828</v>
      </c>
    </row>
    <row r="30" spans="1:16" x14ac:dyDescent="0.25">
      <c r="A30" s="24" t="s">
        <v>73</v>
      </c>
      <c r="B30" s="43">
        <v>10</v>
      </c>
      <c r="C30" s="43">
        <v>15</v>
      </c>
    </row>
    <row r="31" spans="1:16" x14ac:dyDescent="0.25">
      <c r="A31" s="24" t="s">
        <v>38</v>
      </c>
      <c r="B31" s="20">
        <f>PMT(B4/12,B30*12,-1)*12+B5</f>
        <v>0.13972460232997935</v>
      </c>
      <c r="C31" s="20">
        <f>PMT(B4/12,C30*12,-1)*12+B5</f>
        <v>0.10776281936581417</v>
      </c>
    </row>
    <row r="32" spans="1:16" x14ac:dyDescent="0.25">
      <c r="A32" s="24" t="s">
        <v>39</v>
      </c>
      <c r="B32" s="19">
        <f>+B29/B31</f>
        <v>133546.66249663415</v>
      </c>
      <c r="C32" s="19">
        <f>+C29/C31</f>
        <v>187065.87122345492</v>
      </c>
    </row>
    <row r="34" spans="1:2" x14ac:dyDescent="0.25">
      <c r="A34" s="24" t="s">
        <v>74</v>
      </c>
      <c r="B34" s="19">
        <f>SUM(B32:C32)</f>
        <v>320612.53372008906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881C-7E56-4604-B92C-123DD5AF3E81}">
  <dimension ref="A1:N21"/>
  <sheetViews>
    <sheetView workbookViewId="0">
      <selection activeCell="D3" sqref="D3"/>
    </sheetView>
  </sheetViews>
  <sheetFormatPr defaultRowHeight="15" x14ac:dyDescent="0.25"/>
  <cols>
    <col min="1" max="1" width="29.42578125" customWidth="1"/>
    <col min="2" max="7" width="11.42578125" customWidth="1"/>
    <col min="8" max="9" width="11" customWidth="1"/>
    <col min="10" max="10" width="11.140625" customWidth="1"/>
  </cols>
  <sheetData>
    <row r="1" spans="1:14" x14ac:dyDescent="0.25">
      <c r="A1" s="25" t="s">
        <v>60</v>
      </c>
      <c r="B1" s="25"/>
    </row>
    <row r="3" spans="1:14" x14ac:dyDescent="0.25">
      <c r="A3" s="24" t="s">
        <v>33</v>
      </c>
      <c r="B3" s="34">
        <v>425000</v>
      </c>
    </row>
    <row r="4" spans="1:14" x14ac:dyDescent="0.25">
      <c r="A4" s="24" t="s">
        <v>34</v>
      </c>
      <c r="B4" s="32">
        <v>6.5000000000000002E-2</v>
      </c>
    </row>
    <row r="5" spans="1:14" x14ac:dyDescent="0.25">
      <c r="A5" s="24" t="s">
        <v>35</v>
      </c>
      <c r="B5" s="32">
        <v>3.5000000000000001E-3</v>
      </c>
    </row>
    <row r="7" spans="1:14" x14ac:dyDescent="0.25">
      <c r="A7" s="24" t="s">
        <v>0</v>
      </c>
      <c r="B7" s="37" t="s">
        <v>27</v>
      </c>
      <c r="C7" s="37" t="s">
        <v>28</v>
      </c>
      <c r="D7" s="37" t="s">
        <v>29</v>
      </c>
      <c r="E7" s="37" t="s">
        <v>30</v>
      </c>
      <c r="F7" s="37" t="s">
        <v>31</v>
      </c>
      <c r="N7" s="8"/>
    </row>
    <row r="8" spans="1:14" x14ac:dyDescent="0.25">
      <c r="A8" s="24" t="s">
        <v>6</v>
      </c>
      <c r="B8" s="15">
        <v>1</v>
      </c>
      <c r="C8" s="15">
        <v>0.8</v>
      </c>
      <c r="D8" s="15">
        <v>0.6</v>
      </c>
      <c r="E8" s="15">
        <v>0.4</v>
      </c>
      <c r="F8" s="15">
        <v>0.2</v>
      </c>
      <c r="N8" s="8"/>
    </row>
    <row r="9" spans="1:14" x14ac:dyDescent="0.25">
      <c r="A9" s="24" t="s">
        <v>7</v>
      </c>
      <c r="B9" s="16">
        <f>+$B$3*B8</f>
        <v>425000</v>
      </c>
      <c r="C9" s="16">
        <f>+$B$3*C8</f>
        <v>340000</v>
      </c>
      <c r="D9" s="16">
        <f>+$B$3*D8</f>
        <v>255000</v>
      </c>
      <c r="E9" s="16">
        <f>+$B$3*E8</f>
        <v>170000</v>
      </c>
      <c r="F9" s="16">
        <f>+$B$3*F8</f>
        <v>85000</v>
      </c>
      <c r="N9" s="8"/>
    </row>
    <row r="10" spans="1:14" x14ac:dyDescent="0.25">
      <c r="A10" s="24" t="s">
        <v>8</v>
      </c>
      <c r="B10" s="16">
        <f>+B9-C9</f>
        <v>85000</v>
      </c>
      <c r="C10" s="16">
        <f>+C9-D9</f>
        <v>85000</v>
      </c>
      <c r="D10" s="16">
        <f>+D9-E9</f>
        <v>85000</v>
      </c>
      <c r="E10" s="16">
        <f>+E9-F9</f>
        <v>85000</v>
      </c>
      <c r="F10" s="16">
        <f>+F9</f>
        <v>85000</v>
      </c>
      <c r="N10" s="8"/>
    </row>
    <row r="11" spans="1:14" x14ac:dyDescent="0.25">
      <c r="A11" s="24" t="s">
        <v>9</v>
      </c>
      <c r="B11" s="14">
        <v>12</v>
      </c>
      <c r="C11" s="14">
        <f>+B11+2</f>
        <v>14</v>
      </c>
      <c r="D11" s="14">
        <f t="shared" ref="D11:F11" si="0">+C11+2</f>
        <v>16</v>
      </c>
      <c r="E11" s="14">
        <f t="shared" si="0"/>
        <v>18</v>
      </c>
      <c r="F11" s="14">
        <f t="shared" si="0"/>
        <v>20</v>
      </c>
      <c r="N11" s="8"/>
    </row>
    <row r="12" spans="1:14" x14ac:dyDescent="0.25">
      <c r="A12" s="24" t="s">
        <v>10</v>
      </c>
      <c r="B12" s="17">
        <f>PMT($B$4/12,B11*12,-1)*12+$B$5</f>
        <v>0.12373053055967892</v>
      </c>
      <c r="C12" s="17">
        <f>PMT($B$4/12,C11*12,-1)*12+$B$5</f>
        <v>0.11247152969490266</v>
      </c>
      <c r="D12" s="17">
        <f>PMT($B$4/12,D11*12,-1)*12+$B$5</f>
        <v>0.10418903189151116</v>
      </c>
      <c r="E12" s="17">
        <f>PMT($B$4/12,E11*12,-1)*12+$B$5</f>
        <v>9.7887354432512494E-2</v>
      </c>
      <c r="F12" s="17">
        <f>PMT($B$4/12,F11*12,-1)*12+$B$5</f>
        <v>9.2968776261811645E-2</v>
      </c>
      <c r="G12" s="26" t="s">
        <v>36</v>
      </c>
    </row>
    <row r="13" spans="1:14" x14ac:dyDescent="0.25">
      <c r="A13" s="24" t="s">
        <v>11</v>
      </c>
      <c r="B13" s="16">
        <f>+B10/B12</f>
        <v>686976.76810657466</v>
      </c>
      <c r="C13" s="16">
        <f t="shared" ref="C13:F13" si="1">+C10/C12</f>
        <v>755746.81193166249</v>
      </c>
      <c r="D13" s="16">
        <f t="shared" si="1"/>
        <v>815824.83738315082</v>
      </c>
      <c r="E13" s="16">
        <f t="shared" si="1"/>
        <v>868345.05327858706</v>
      </c>
      <c r="F13" s="16">
        <f t="shared" si="1"/>
        <v>914285.45601836708</v>
      </c>
      <c r="G13" s="38">
        <f>SUM(B13:F13)</f>
        <v>4041178.9267183421</v>
      </c>
    </row>
    <row r="15" spans="1:14" x14ac:dyDescent="0.25">
      <c r="E15" s="6"/>
      <c r="F15" s="6"/>
      <c r="G15" s="6"/>
      <c r="H15" s="6"/>
      <c r="I15" s="6"/>
    </row>
    <row r="16" spans="1:14" x14ac:dyDescent="0.25">
      <c r="E16" s="6"/>
      <c r="F16" s="6"/>
      <c r="G16" s="6"/>
      <c r="H16" s="6"/>
      <c r="I16" s="6"/>
    </row>
    <row r="17" spans="5:9" x14ac:dyDescent="0.25">
      <c r="E17" s="6"/>
      <c r="F17" s="6"/>
      <c r="G17" s="6"/>
      <c r="H17" s="6"/>
      <c r="I17" s="6"/>
    </row>
    <row r="18" spans="5:9" x14ac:dyDescent="0.25">
      <c r="E18" s="6"/>
      <c r="F18" s="6"/>
      <c r="G18" s="6"/>
      <c r="H18" s="6"/>
      <c r="I18" s="6"/>
    </row>
    <row r="19" spans="5:9" x14ac:dyDescent="0.25">
      <c r="E19" s="6"/>
      <c r="F19" s="6"/>
      <c r="G19" s="6"/>
      <c r="H19" s="6"/>
      <c r="I19" s="6"/>
    </row>
    <row r="20" spans="5:9" x14ac:dyDescent="0.25">
      <c r="E20" s="6"/>
      <c r="F20" s="6"/>
      <c r="G20" s="6"/>
      <c r="H20" s="6"/>
      <c r="I20" s="6"/>
    </row>
    <row r="21" spans="5:9" x14ac:dyDescent="0.25">
      <c r="E21" s="6"/>
      <c r="F21" s="6"/>
      <c r="G21" s="6"/>
      <c r="H21" s="6"/>
      <c r="I21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8FEB-5E32-4AE0-A678-C27764E85BD3}">
  <dimension ref="A1:C11"/>
  <sheetViews>
    <sheetView workbookViewId="0">
      <selection activeCell="D9" sqref="D9"/>
    </sheetView>
  </sheetViews>
  <sheetFormatPr defaultRowHeight="15" x14ac:dyDescent="0.25"/>
  <cols>
    <col min="1" max="1" width="28.42578125" customWidth="1"/>
    <col min="2" max="2" width="10" bestFit="1" customWidth="1"/>
    <col min="4" max="4" width="12" customWidth="1"/>
    <col min="8" max="8" width="12.5703125" bestFit="1" customWidth="1"/>
  </cols>
  <sheetData>
    <row r="1" spans="1:3" x14ac:dyDescent="0.25">
      <c r="A1" s="25" t="s">
        <v>61</v>
      </c>
      <c r="B1" s="25"/>
      <c r="C1" s="25"/>
    </row>
    <row r="3" spans="1:3" x14ac:dyDescent="0.25">
      <c r="A3" s="24" t="s">
        <v>33</v>
      </c>
      <c r="B3" s="33">
        <v>475000</v>
      </c>
    </row>
    <row r="4" spans="1:3" x14ac:dyDescent="0.25">
      <c r="A4" s="24" t="s">
        <v>34</v>
      </c>
      <c r="B4" s="32">
        <v>5.5E-2</v>
      </c>
    </row>
    <row r="5" spans="1:3" x14ac:dyDescent="0.25">
      <c r="A5" s="24" t="s">
        <v>35</v>
      </c>
      <c r="B5" s="32">
        <v>6.0000000000000001E-3</v>
      </c>
    </row>
    <row r="7" spans="1:3" x14ac:dyDescent="0.25">
      <c r="A7" s="24" t="s">
        <v>47</v>
      </c>
      <c r="B7" s="18">
        <v>30</v>
      </c>
    </row>
    <row r="8" spans="1:3" x14ac:dyDescent="0.25">
      <c r="A8" s="24" t="s">
        <v>62</v>
      </c>
      <c r="B8" s="35">
        <v>0.5</v>
      </c>
    </row>
    <row r="9" spans="1:3" x14ac:dyDescent="0.25">
      <c r="A9" s="24" t="s">
        <v>63</v>
      </c>
      <c r="B9" s="33">
        <f>+B3*B8</f>
        <v>237500</v>
      </c>
    </row>
    <row r="10" spans="1:3" x14ac:dyDescent="0.25">
      <c r="A10" s="24" t="s">
        <v>38</v>
      </c>
      <c r="B10" s="32">
        <f>PMT(B4/12,B7*12,-1)*12+B5</f>
        <v>7.4134680161640348E-2</v>
      </c>
    </row>
    <row r="11" spans="1:3" x14ac:dyDescent="0.25">
      <c r="A11" s="24" t="s">
        <v>39</v>
      </c>
      <c r="B11" s="39">
        <f>+B9/B10</f>
        <v>3203628.8479583957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Example 1</vt:lpstr>
      <vt:lpstr>Example 2</vt:lpstr>
      <vt:lpstr>Example 3</vt:lpstr>
      <vt:lpstr>Example 4.1</vt:lpstr>
      <vt:lpstr>Example 4.2</vt:lpstr>
      <vt:lpstr>Example 5</vt:lpstr>
      <vt:lpstr>Example 6</vt:lpstr>
      <vt:lpstr>Example 7</vt:lpstr>
      <vt:lpstr>Example 8</vt:lpstr>
    </vt:vector>
  </TitlesOfParts>
  <Company>ORIX 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Herold, Sam</dc:creator>
  <cp:lastModifiedBy>Herold, Sam</cp:lastModifiedBy>
  <dcterms:created xsi:type="dcterms:W3CDTF">2024-03-25T20:33:38Z</dcterms:created>
  <dcterms:modified xsi:type="dcterms:W3CDTF">2024-04-30T22:31:04Z</dcterms:modified>
</cp:coreProperties>
</file>